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StewartSeverino\Downloads\"/>
    </mc:Choice>
  </mc:AlternateContent>
  <xr:revisionPtr revIDLastSave="0" documentId="13_ncr:1_{F466497B-B014-403F-8F3A-28CD9C3FA21B}" xr6:coauthVersionLast="47" xr6:coauthVersionMax="47" xr10:uidLastSave="{00000000-0000-0000-0000-000000000000}"/>
  <bookViews>
    <workbookView xWindow="-108" yWindow="-108" windowWidth="23256" windowHeight="12456" activeTab="3" xr2:uid="{00000000-000D-0000-FFFF-FFFF00000000}"/>
  </bookViews>
  <sheets>
    <sheet name="Read Me" sheetId="1" r:id="rId1"/>
    <sheet name="Inputs" sheetId="2" r:id="rId2"/>
    <sheet name="Outputs" sheetId="3" r:id="rId3"/>
    <sheet name="Dashboard"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4" l="1"/>
  <c r="E7" i="4"/>
  <c r="H6" i="4"/>
  <c r="H5" i="4"/>
  <c r="H4" i="4"/>
  <c r="C27" i="3"/>
  <c r="C25" i="3"/>
  <c r="C24" i="3"/>
  <c r="C26" i="3" s="1"/>
  <c r="E6" i="4" s="1"/>
  <c r="C23" i="3"/>
  <c r="C22" i="3"/>
  <c r="C21" i="3"/>
  <c r="C10" i="3"/>
  <c r="B7" i="4" s="1"/>
  <c r="C9" i="3"/>
  <c r="C7" i="3"/>
  <c r="E4" i="4" s="1"/>
  <c r="C6" i="3"/>
  <c r="C20" i="3" s="1"/>
  <c r="C4" i="3"/>
  <c r="C5" i="3" s="1"/>
  <c r="B4" i="4" s="1"/>
  <c r="C8" i="3" l="1"/>
  <c r="E5" i="4" s="1"/>
  <c r="C16" i="3"/>
  <c r="C17" i="3"/>
  <c r="C18" i="3"/>
  <c r="C11" i="3"/>
  <c r="C12" i="3" s="1"/>
  <c r="B5" i="4" s="1"/>
  <c r="C19" i="3"/>
  <c r="C28" i="3"/>
  <c r="C13" i="3"/>
  <c r="B6" i="4" s="1"/>
  <c r="C14" i="3"/>
  <c r="C15" i="3" s="1"/>
</calcChain>
</file>

<file path=xl/sharedStrings.xml><?xml version="1.0" encoding="utf-8"?>
<sst xmlns="http://schemas.openxmlformats.org/spreadsheetml/2006/main" count="211" uniqueCount="165">
  <si>
    <t>AI Stewardship &amp; ROI Calculator</t>
  </si>
  <si>
    <t>Purpose</t>
  </si>
  <si>
    <t>This workbook helps finance, operations, ministry leaders, boards, and funders evaluate AI as an operating investment. Enter editable assumptions in the Inputs tab (blue-font cells). The Outputs tab calculates financial ROI, productivity, cost-per-outcome, reliability thresholds, and ministry stewardship metrics. Financial ROI is kept separate from mission impact so the model does not place a dollar value on Kingdom outcomes unless your organization intentionally assigns one.</t>
  </si>
  <si>
    <t>How to use it</t>
  </si>
  <si>
    <t>1</t>
  </si>
  <si>
    <t>Finance enters AI spend, staff cost, and any measurable revenue/grant contribution.</t>
  </si>
  <si>
    <t>2</t>
  </si>
  <si>
    <t>Operations/ministry leaders enter hours saved, outputs produced, people served, leaders equipped, and quality/rework data.</t>
  </si>
  <si>
    <t>3</t>
  </si>
  <si>
    <t>Review Outputs for annual cost, labor capacity value, hard-dollar ROI, cost per outcome, and reliability economics.</t>
  </si>
  <si>
    <t>4</t>
  </si>
  <si>
    <t>Use Dashboard for an executive/board-level summary.</t>
  </si>
  <si>
    <t>Important interpretation</t>
  </si>
  <si>
    <t>Editable Assumptions &amp; Operating Inputs</t>
  </si>
  <si>
    <t>Category</t>
  </si>
  <si>
    <t>Input</t>
  </si>
  <si>
    <t>What Finance Should Enter</t>
  </si>
  <si>
    <t>Value</t>
  </si>
  <si>
    <t>Unit / Notes</t>
  </si>
  <si>
    <t>AI Cost</t>
  </si>
  <si>
    <t>Monthly AI Spend</t>
  </si>
  <si>
    <t>Total recurring monthly AI operating cost: token/API usage, AI subscriptions, agent platforms, model access, and other recurring AI consumption costs.</t>
  </si>
  <si>
    <t>$ / month</t>
  </si>
  <si>
    <t>Annual Fixed AI / Platform Cost</t>
  </si>
  <si>
    <t>Annual contracts, implementation support, licenses, observability/FinOps tooling, or other AI costs not already included in monthly spend.</t>
  </si>
  <si>
    <t>$ / year</t>
  </si>
  <si>
    <t>One-Time Implementation Cost</t>
  </si>
  <si>
    <t>Initial integration, consulting, build, migration, training, or implementation cost for the use case or portfolio being evaluated.</t>
  </si>
  <si>
    <t>$ one-time</t>
  </si>
  <si>
    <t>Adoption</t>
  </si>
  <si>
    <t>Number of Staff Using AI</t>
  </si>
  <si>
    <t>Count of staff actively using the AI solution during the measurement period.</t>
  </si>
  <si>
    <t>people</t>
  </si>
  <si>
    <t>Productivity</t>
  </si>
  <si>
    <t>Hours Saved per Staff per Week</t>
  </si>
  <si>
    <t>Average verified hours per week that each active user no longer spends on the original task because of AI.</t>
  </si>
  <si>
    <t>hours / week</t>
  </si>
  <si>
    <t>Fully Loaded Hourly Staff Cost</t>
  </si>
  <si>
    <t>Average hourly employment cost including salary, payroll burden, and benefits. Use finance's standard loaded labor rate.</t>
  </si>
  <si>
    <t>$ / hour</t>
  </si>
  <si>
    <t>Volunteer Hours Saved per Year</t>
  </si>
  <si>
    <t>Annual volunteer hours reduced or redirected because AI automates or accelerates tasks.</t>
  </si>
  <si>
    <t>hours / year</t>
  </si>
  <si>
    <t>Volunteer Hour Value</t>
  </si>
  <si>
    <t>Optional internal value used for capacity reporting. Leave at 0 if your organization does not monetize volunteer time.</t>
  </si>
  <si>
    <t>Financial Value</t>
  </si>
  <si>
    <t>Annual Revenue Generated / Influenced</t>
  </si>
  <si>
    <t>Revenue reasonably attributable to the AI-enabled process. Use conservative attribution and document the method.</t>
  </si>
  <si>
    <t>Annual Grant Dollars Won / Influenced</t>
  </si>
  <si>
    <t>Grant dollars where AI materially supported research, writing, targeting, reporting, or proposal throughput. Use only the attributable portion.</t>
  </si>
  <si>
    <t>Annual Avoided External Cost</t>
  </si>
  <si>
    <t>Actual spending avoided—for example contractor, translation, agency, transcription, or outsourced production costs no longer incurred.</t>
  </si>
  <si>
    <t>Mission Output</t>
  </si>
  <si>
    <t>Resources / Projects Produced per Year</t>
  </si>
  <si>
    <t>AI-assisted ministry or operating deliverables completed annually: studies, campaigns, translations, training assets, reports, etc.</t>
  </si>
  <si>
    <t>outputs / year</t>
  </si>
  <si>
    <t>People Served / Reached per Year</t>
  </si>
  <si>
    <t>People directly served or meaningfully reached by the AI-enabled capacity. Use your organization's existing impact definition.</t>
  </si>
  <si>
    <t>people / year</t>
  </si>
  <si>
    <t>Leaders Equipped per Year</t>
  </si>
  <si>
    <t>Leaders trained, coached, resourced, or supported through the AI-enabled workflow.</t>
  </si>
  <si>
    <t>leaders / year</t>
  </si>
  <si>
    <t>Churches / Partners Served per Year</t>
  </si>
  <si>
    <t>Churches, ministries, campuses, or strategic partners served through the AI-enabled capacity.</t>
  </si>
  <si>
    <t>partners / year</t>
  </si>
  <si>
    <t>Quality</t>
  </si>
  <si>
    <t>Human Time to Complete Task</t>
  </si>
  <si>
    <t>Average time for a person to complete the task without AI.</t>
  </si>
  <si>
    <t>hours / task</t>
  </si>
  <si>
    <t>Human Time to Verify AI Work</t>
  </si>
  <si>
    <t>Average human review time required to confirm the AI output is usable and safe.</t>
  </si>
  <si>
    <t>AI Success Rate</t>
  </si>
  <si>
    <t>Percentage of AI attempts that meet the defined business/ministry outcome with acceptable review/editing.</t>
  </si>
  <si>
    <t>%</t>
  </si>
  <si>
    <t>Significant Rework Rate</t>
  </si>
  <si>
    <t>Percentage of AI attempts requiring substantial rework or full human redo.</t>
  </si>
  <si>
    <t>Average Rework Time</t>
  </si>
  <si>
    <t>Average human time required when an AI attempt fails or needs significant correction.</t>
  </si>
  <si>
    <t>hours / failed task</t>
  </si>
  <si>
    <t>Quality Score</t>
  </si>
  <si>
    <t>Internal quality score using a consistent rubric. 10 = meets/exceeds desired standard.</t>
  </si>
  <si>
    <t>1-10</t>
  </si>
  <si>
    <t>Measurement</t>
  </si>
  <si>
    <t>Annual Completed AI-Assisted Tasks</t>
  </si>
  <si>
    <t>Total completed AI-assisted tasks/use-case runs in the year. This drives verification and rework cost calculations.</t>
  </si>
  <si>
    <t>tasks / year</t>
  </si>
  <si>
    <t>Calculated AI Stewardship &amp; ROI Outputs</t>
  </si>
  <si>
    <t>Section</t>
  </si>
  <si>
    <t>Metric</t>
  </si>
  <si>
    <t>Calculated Result</t>
  </si>
  <si>
    <t>Interpretation</t>
  </si>
  <si>
    <t>Cost</t>
  </si>
  <si>
    <t>Recurring Annual AI Cost</t>
  </si>
  <si>
    <t>Monthly AI spend × 12 + annual fixed AI/platform costs.</t>
  </si>
  <si>
    <t>Year 1 Total AI Investment</t>
  </si>
  <si>
    <t>Recurring annual AI cost + one-time implementation cost.</t>
  </si>
  <si>
    <t>Ongoing Annual AI Investment</t>
  </si>
  <si>
    <t>Expected annual AI investment after initial implementation.</t>
  </si>
  <si>
    <t>Capacity</t>
  </si>
  <si>
    <t>Annual Staff Hours Returned</t>
  </si>
  <si>
    <t>Staff users × hours saved per week × 52.</t>
  </si>
  <si>
    <t>Staff Capacity Value</t>
  </si>
  <si>
    <t>Economic value of staff hours returned. This is capacity value, not automatically cash savings.</t>
  </si>
  <si>
    <t>Volunteer Capacity Value</t>
  </si>
  <si>
    <t>Optional value of volunteer hours redirected. Excluded from hard-dollar ROI unless your policy says otherwise.</t>
  </si>
  <si>
    <t>Financial</t>
  </si>
  <si>
    <t>Direct Financial Benefit</t>
  </si>
  <si>
    <t>Revenue + attributable grants + actual avoided external costs.</t>
  </si>
  <si>
    <t>Year 1 Net Hard-Dollar Benefit</t>
  </si>
  <si>
    <t>Direct financial benefit less Year 1 total AI investment.</t>
  </si>
  <si>
    <t>Year 1 Hard-Dollar ROI</t>
  </si>
  <si>
    <t>Net hard-dollar benefit ÷ Year 1 investment.</t>
  </si>
  <si>
    <t>Ongoing Hard-Dollar ROI</t>
  </si>
  <si>
    <t>Direct financial benefit less ongoing AI cost, divided by ongoing AI cost.</t>
  </si>
  <si>
    <t>Total Economic Value (incl. capacity)</t>
  </si>
  <si>
    <t>Direct financial benefit + staff capacity value + optional volunteer capacity value.</t>
  </si>
  <si>
    <t>Economic ROI (incl. capacity)</t>
  </si>
  <si>
    <t>Useful for operational excellence analysis; includes the value of time returned.</t>
  </si>
  <si>
    <t>Efficiency</t>
  </si>
  <si>
    <t>Cost per Completed AI Task</t>
  </si>
  <si>
    <t>Ongoing AI cost ÷ completed AI-assisted tasks.</t>
  </si>
  <si>
    <t>Cost per Resource / Project</t>
  </si>
  <si>
    <t>Ongoing AI cost ÷ annual resources/projects produced.</t>
  </si>
  <si>
    <t>Cost per Person Served / Reached</t>
  </si>
  <si>
    <t>Ongoing AI cost ÷ people served/reached.</t>
  </si>
  <si>
    <t>Cost per Leader Equipped</t>
  </si>
  <si>
    <t>Ongoing AI cost ÷ leaders equipped.</t>
  </si>
  <si>
    <t>Cost per Church / Partner Served</t>
  </si>
  <si>
    <t>Ongoing AI cost ÷ churches/partners served.</t>
  </si>
  <si>
    <t>Agent Economics</t>
  </si>
  <si>
    <t>Minimum AI Success Rate Required</t>
  </si>
  <si>
    <t>T(verify) ÷ T(do). If actual success exceeds this threshold, basic verification economics are favorable before rework costs.</t>
  </si>
  <si>
    <t>Actual Success Rate</t>
  </si>
  <si>
    <t>Entered AI success rate.</t>
  </si>
  <si>
    <t>Reliability Margin</t>
  </si>
  <si>
    <t>Actual success rate minus minimum required success rate.</t>
  </si>
  <si>
    <t>Annual Verification Hours</t>
  </si>
  <si>
    <t>Verification time × annual AI-assisted tasks.</t>
  </si>
  <si>
    <t>Annual Rework Hours</t>
  </si>
  <si>
    <t>Tasks × rework rate × average rework time.</t>
  </si>
  <si>
    <t>Verification + Rework Labor Cost</t>
  </si>
  <si>
    <t>Human oversight and rework cost—an important part of the agency tax.</t>
  </si>
  <si>
    <t>Stewardship</t>
  </si>
  <si>
    <t>Internal quality rating from Inputs.</t>
  </si>
  <si>
    <t>Kingdom Capacity Indicator</t>
  </si>
  <si>
    <t>Composite capacity/outcome indicator for discussion—not a dollar valuation of Kingdom impact.</t>
  </si>
  <si>
    <t>AI Stewardship Executive Dashboard</t>
  </si>
  <si>
    <t>FINANCIAL STEWARDSHIP</t>
  </si>
  <si>
    <t>CAPACITY RETURNED</t>
  </si>
  <si>
    <t>MISSION OUTPUT</t>
  </si>
  <si>
    <t>Year 1 AI Investment</t>
  </si>
  <si>
    <t>Staff Hours Returned</t>
  </si>
  <si>
    <t>Resources Produced</t>
  </si>
  <si>
    <t>People Served / Reached</t>
  </si>
  <si>
    <t>Oversight + Rework Cost</t>
  </si>
  <si>
    <t>Leaders Equipped</t>
  </si>
  <si>
    <t>Partners Served</t>
  </si>
  <si>
    <t>Board / Funder Question</t>
  </si>
  <si>
    <t>What additional capacity, measurable outcomes, and Kingdom-serving impact did this AI investment make possible—and is the value created proportionate to the resources entrusted to us?</t>
  </si>
  <si>
    <t>Investment → Capacity → Outcomes → Kingdom Impact</t>
  </si>
  <si>
    <t>Labor Capacity Value = the economic value of staff time returned to the organization; it's not necessarily cash savings. Hard-Dollar ROI includes only direct financial benefits entered by the organization (for example revenue generated, grants won, or actual avoided costs). Ministry Stewardship metrics show what the AI investment enabled without monetizing spiritual outcomes.</t>
  </si>
  <si>
    <t>Contact Stewart Severino</t>
  </si>
  <si>
    <t>sseverino@gmail.com</t>
  </si>
  <si>
    <t>me@stewartseverino.com</t>
  </si>
  <si>
    <t>by Stewart Severino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</si>
</sst>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Red]\(#,##0.00\);\-"/>
    <numFmt numFmtId="165" formatCode="0.0%"/>
    <numFmt numFmtId="166" formatCode="0.0"/>
    <numFmt numFmtId="167" formatCode="\$#,##0;[Red]\(\$#,##0\);\-"/>
    <numFmt numFmtId="168" formatCode="#,##0;[Red]\(#,##0\);\-"/>
    <numFmt numFmtId="169" formatCode="\$#,##0.00;[Red]\(\$#,##0.00\);\-"/>
    <numFmt numFmtId="170" formatCode="#,##0.0;[Red]\(#,##0.0\);\-"/>
  </numFmts>
  <fonts count="11">
    <font>
      <sz val="11"/>
      <name val="Carlito"/>
    </font>
    <font>
      <b/>
      <sz val="18"/>
      <color rgb="FFFFFFFF"/>
      <name val="Carlito"/>
    </font>
    <font>
      <b/>
      <sz val="11"/>
      <color rgb="FF17365D"/>
      <name val="Carlito"/>
    </font>
    <font>
      <b/>
      <sz val="11"/>
      <color rgb="FF7F6000"/>
      <name val="Carlito"/>
    </font>
    <font>
      <b/>
      <sz val="16"/>
      <color rgb="FFFFFFFF"/>
      <name val="Carlito"/>
    </font>
    <font>
      <b/>
      <sz val="11"/>
      <color rgb="FFFFFFFF"/>
      <name val="Carlito"/>
    </font>
    <font>
      <sz val="11"/>
      <color rgb="FF0000FF"/>
      <name val="Carlito"/>
    </font>
    <font>
      <b/>
      <sz val="11"/>
      <color rgb="FF000000"/>
      <name val="Carlito"/>
    </font>
    <font>
      <b/>
      <sz val="14"/>
      <name val="Carlito"/>
    </font>
    <font>
      <i/>
      <sz val="13"/>
      <name val="Carlito"/>
    </font>
    <font>
      <u/>
      <sz val="11"/>
      <color theme="10"/>
      <name val="Carlito"/>
    </font>
  </fonts>
  <fills count="12">
    <fill>
      <patternFill patternType="none"/>
    </fill>
    <fill>
      <patternFill patternType="gray125"/>
    </fill>
    <fill>
      <patternFill patternType="solid">
        <fgColor rgb="FF17365D"/>
      </patternFill>
    </fill>
    <fill>
      <patternFill patternType="solid">
        <fgColor rgb="FFD9EAF7"/>
      </patternFill>
    </fill>
    <fill>
      <patternFill patternType="solid">
        <fgColor rgb="FFFFF2CC"/>
      </patternFill>
    </fill>
    <fill>
      <patternFill patternType="solid">
        <fgColor rgb="FF4472C4"/>
      </patternFill>
    </fill>
    <fill>
      <patternFill patternType="solid">
        <fgColor rgb="FFE2F0D9"/>
      </patternFill>
    </fill>
    <fill>
      <patternFill patternType="solid">
        <fgColor rgb="FFDDEBF7"/>
      </patternFill>
    </fill>
    <fill>
      <patternFill patternType="solid">
        <fgColor rgb="FFFCE4D6"/>
      </patternFill>
    </fill>
    <fill>
      <patternFill patternType="solid">
        <fgColor rgb="FFE4DFEC"/>
      </patternFill>
    </fill>
    <fill>
      <patternFill patternType="solid">
        <fgColor theme="6"/>
        <bgColor indexed="64"/>
      </patternFill>
    </fill>
    <fill>
      <patternFill patternType="solid">
        <fgColor theme="9" tint="0.79998168889431442"/>
        <bgColor indexed="64"/>
      </patternFill>
    </fill>
  </fills>
  <borders count="1">
    <border>
      <left/>
      <right/>
      <top/>
      <bottom/>
      <diagonal/>
    </border>
  </borders>
  <cellStyleXfs count="2">
    <xf numFmtId="0" fontId="0" fillId="0" borderId="0"/>
    <xf numFmtId="0" fontId="10" fillId="0" borderId="0" applyNumberFormat="0" applyFill="0" applyBorder="0" applyAlignment="0" applyProtection="0"/>
  </cellStyleXfs>
  <cellXfs count="33">
    <xf numFmtId="0" fontId="0" fillId="0" borderId="0" xfId="0"/>
    <xf numFmtId="0" fontId="0" fillId="0" borderId="0" xfId="0" applyAlignment="1">
      <alignment wrapText="1"/>
    </xf>
    <xf numFmtId="0" fontId="2" fillId="0" borderId="0" xfId="0" applyFont="1"/>
    <xf numFmtId="0" fontId="5" fillId="5" borderId="0" xfId="0" applyFont="1" applyFill="1"/>
    <xf numFmtId="0" fontId="5" fillId="5" borderId="0" xfId="0" applyFont="1" applyFill="1" applyAlignment="1">
      <alignment wrapText="1"/>
    </xf>
    <xf numFmtId="164" fontId="6" fillId="4" borderId="0" xfId="0" applyNumberFormat="1" applyFont="1" applyFill="1" applyAlignment="1">
      <alignment wrapText="1"/>
    </xf>
    <xf numFmtId="165" fontId="6" fillId="4" borderId="0" xfId="0" applyNumberFormat="1" applyFont="1" applyFill="1" applyAlignment="1">
      <alignment wrapText="1"/>
    </xf>
    <xf numFmtId="166" fontId="6" fillId="4" borderId="0" xfId="0" applyNumberFormat="1" applyFont="1" applyFill="1" applyAlignment="1">
      <alignment wrapText="1"/>
    </xf>
    <xf numFmtId="167" fontId="7" fillId="0" borderId="0" xfId="0" applyNumberFormat="1" applyFont="1" applyAlignment="1">
      <alignment wrapText="1"/>
    </xf>
    <xf numFmtId="168" fontId="7" fillId="0" borderId="0" xfId="0" applyNumberFormat="1" applyFont="1" applyAlignment="1">
      <alignment wrapText="1"/>
    </xf>
    <xf numFmtId="165" fontId="7" fillId="0" borderId="0" xfId="0" applyNumberFormat="1" applyFont="1" applyAlignment="1">
      <alignment wrapText="1"/>
    </xf>
    <xf numFmtId="169" fontId="7" fillId="0" borderId="0" xfId="0" applyNumberFormat="1" applyFont="1" applyAlignment="1">
      <alignment wrapText="1"/>
    </xf>
    <xf numFmtId="170" fontId="7" fillId="0" borderId="0" xfId="0" applyNumberFormat="1" applyFont="1" applyAlignment="1">
      <alignment wrapText="1"/>
    </xf>
    <xf numFmtId="166" fontId="7" fillId="0" borderId="0" xfId="0" applyNumberFormat="1" applyFont="1" applyAlignment="1">
      <alignment wrapText="1"/>
    </xf>
    <xf numFmtId="0" fontId="0" fillId="6" borderId="0" xfId="0" applyFill="1" applyAlignment="1">
      <alignment wrapText="1"/>
    </xf>
    <xf numFmtId="0" fontId="0" fillId="7" borderId="0" xfId="0" applyFill="1" applyAlignment="1">
      <alignment wrapText="1"/>
    </xf>
    <xf numFmtId="0" fontId="0" fillId="4" borderId="0" xfId="0" applyFill="1" applyAlignment="1">
      <alignment wrapText="1"/>
    </xf>
    <xf numFmtId="0" fontId="0" fillId="8" borderId="0" xfId="0" applyFill="1" applyAlignment="1">
      <alignment wrapText="1"/>
    </xf>
    <xf numFmtId="0" fontId="0" fillId="9" borderId="0" xfId="0" applyFill="1" applyAlignment="1">
      <alignment wrapText="1"/>
    </xf>
    <xf numFmtId="167" fontId="8" fillId="0" borderId="0" xfId="0" applyNumberFormat="1" applyFont="1"/>
    <xf numFmtId="165" fontId="8" fillId="0" borderId="0" xfId="0" applyNumberFormat="1" applyFont="1"/>
    <xf numFmtId="3" fontId="8" fillId="0" borderId="0" xfId="0" applyNumberFormat="1" applyFont="1"/>
    <xf numFmtId="0" fontId="2" fillId="3" borderId="0" xfId="0" applyFont="1" applyFill="1"/>
    <xf numFmtId="0" fontId="0" fillId="0" borderId="0" xfId="0" applyAlignment="1">
      <alignment wrapText="1"/>
    </xf>
    <xf numFmtId="0" fontId="3" fillId="4" borderId="0" xfId="0" applyFont="1" applyFill="1"/>
    <xf numFmtId="0" fontId="4" fillId="2" borderId="0" xfId="0" applyFont="1" applyFill="1"/>
    <xf numFmtId="0" fontId="1" fillId="2" borderId="0" xfId="0" applyFont="1" applyFill="1"/>
    <xf numFmtId="0" fontId="5" fillId="5" borderId="0" xfId="0" applyFont="1" applyFill="1"/>
    <xf numFmtId="0" fontId="9" fillId="0" borderId="0" xfId="0" applyFont="1" applyAlignment="1">
      <alignment wrapText="1"/>
    </xf>
    <xf numFmtId="0" fontId="3" fillId="4" borderId="0" xfId="0" applyFont="1" applyFill="1" applyAlignment="1">
      <alignment horizontal="center"/>
    </xf>
    <xf numFmtId="0" fontId="1" fillId="10" borderId="0" xfId="0" applyFont="1" applyFill="1" applyAlignment="1">
      <alignment horizontal="left" vertical="center"/>
    </xf>
    <xf numFmtId="0" fontId="2" fillId="11" borderId="0" xfId="0" applyFont="1" applyFill="1"/>
    <xf numFmtId="0" fontId="10" fillId="0" borderId="0" xfId="1"/>
  </cellXfs>
  <cellStyles count="2">
    <cellStyle name="Hyperlink" xfId="1" builtinId="8"/>
    <cellStyle name="Normal" xfId="0" builtinId="0"/>
  </cellStyles>
  <dxfs count="2">
    <dxf>
      <font>
        <b/>
        <color rgb="FF274E13"/>
      </font>
      <fill>
        <patternFill patternType="solid">
          <bgColor rgb="FFD9EAD3"/>
        </patternFill>
      </fill>
    </dxf>
    <dxf>
      <font>
        <b/>
        <color rgb="FF9C0006"/>
      </font>
      <fill>
        <patternFill patternType="solid">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me@stewartseverino.com" TargetMode="External"/><Relationship Id="rId1" Type="http://schemas.openxmlformats.org/officeDocument/2006/relationships/hyperlink" Target="mailto:sseverin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4"/>
  <sheetViews>
    <sheetView topLeftCell="A2" workbookViewId="0">
      <selection activeCell="C25" sqref="C25"/>
    </sheetView>
  </sheetViews>
  <sheetFormatPr defaultRowHeight="13.8"/>
  <cols>
    <col min="1" max="1" width="8" customWidth="1"/>
    <col min="2" max="2" width="55" customWidth="1"/>
    <col min="3" max="6" width="22" customWidth="1"/>
  </cols>
  <sheetData>
    <row r="1" spans="1:6" ht="16.05" customHeight="1">
      <c r="A1" s="30" t="s">
        <v>0</v>
      </c>
      <c r="B1" s="30"/>
      <c r="C1" s="30"/>
      <c r="D1" s="30"/>
      <c r="E1" s="30"/>
      <c r="F1" s="30"/>
    </row>
    <row r="2" spans="1:6" ht="16.05" customHeight="1"/>
    <row r="3" spans="1:6" ht="16.05" customHeight="1">
      <c r="A3" s="31" t="s">
        <v>1</v>
      </c>
      <c r="B3" s="31"/>
      <c r="C3" s="31"/>
      <c r="D3" s="31"/>
      <c r="E3" s="31"/>
      <c r="F3" s="31"/>
    </row>
    <row r="4" spans="1:6" ht="16.05" customHeight="1">
      <c r="A4" s="23" t="s">
        <v>2</v>
      </c>
      <c r="B4" s="23"/>
      <c r="C4" s="23"/>
      <c r="D4" s="23"/>
      <c r="E4" s="23"/>
      <c r="F4" s="23"/>
    </row>
    <row r="5" spans="1:6" ht="16.05" customHeight="1">
      <c r="A5" s="23"/>
      <c r="B5" s="23"/>
      <c r="C5" s="23"/>
      <c r="D5" s="23"/>
      <c r="E5" s="23"/>
      <c r="F5" s="23"/>
    </row>
    <row r="6" spans="1:6" ht="16.05" customHeight="1">
      <c r="A6" s="23"/>
      <c r="B6" s="23"/>
      <c r="C6" s="23"/>
      <c r="D6" s="23"/>
      <c r="E6" s="23"/>
      <c r="F6" s="23"/>
    </row>
    <row r="7" spans="1:6" ht="16.05" customHeight="1">
      <c r="A7" s="23"/>
      <c r="B7" s="23"/>
      <c r="C7" s="23"/>
      <c r="D7" s="23"/>
      <c r="E7" s="23"/>
      <c r="F7" s="23"/>
    </row>
    <row r="8" spans="1:6" ht="16.05" customHeight="1">
      <c r="A8" s="23"/>
      <c r="B8" s="23"/>
      <c r="C8" s="23"/>
      <c r="D8" s="23"/>
      <c r="E8" s="23"/>
      <c r="F8" s="23"/>
    </row>
    <row r="9" spans="1:6" ht="16.05" customHeight="1"/>
    <row r="10" spans="1:6" ht="16.05" customHeight="1">
      <c r="A10" s="31" t="s">
        <v>3</v>
      </c>
      <c r="B10" s="31"/>
      <c r="C10" s="31"/>
      <c r="D10" s="31"/>
      <c r="E10" s="31"/>
      <c r="F10" s="31"/>
    </row>
    <row r="11" spans="1:6" ht="16.05" customHeight="1">
      <c r="A11" s="2" t="s">
        <v>4</v>
      </c>
      <c r="B11" s="1" t="s">
        <v>5</v>
      </c>
    </row>
    <row r="12" spans="1:6" ht="16.05" customHeight="1">
      <c r="A12" s="2" t="s">
        <v>6</v>
      </c>
      <c r="B12" s="1" t="s">
        <v>7</v>
      </c>
    </row>
    <row r="13" spans="1:6" ht="16.05" customHeight="1">
      <c r="A13" s="2" t="s">
        <v>8</v>
      </c>
      <c r="B13" s="1" t="s">
        <v>9</v>
      </c>
    </row>
    <row r="14" spans="1:6" ht="16.05" customHeight="1">
      <c r="A14" s="2" t="s">
        <v>10</v>
      </c>
      <c r="B14" s="1" t="s">
        <v>11</v>
      </c>
    </row>
    <row r="15" spans="1:6" ht="16.05" customHeight="1"/>
    <row r="16" spans="1:6" ht="16.05" customHeight="1">
      <c r="A16" s="24" t="s">
        <v>12</v>
      </c>
      <c r="B16" s="24"/>
      <c r="C16" s="24"/>
      <c r="D16" s="24"/>
      <c r="E16" s="24"/>
      <c r="F16" s="24"/>
    </row>
    <row r="17" spans="1:6" ht="16.05" customHeight="1">
      <c r="A17" s="23" t="s">
        <v>160</v>
      </c>
      <c r="B17" s="23"/>
      <c r="C17" s="23"/>
      <c r="D17" s="23"/>
      <c r="E17" s="23"/>
      <c r="F17" s="23"/>
    </row>
    <row r="18" spans="1:6" ht="16.05" customHeight="1">
      <c r="A18" s="23"/>
      <c r="B18" s="23"/>
      <c r="C18" s="23"/>
      <c r="D18" s="23"/>
      <c r="E18" s="23"/>
      <c r="F18" s="23"/>
    </row>
    <row r="19" spans="1:6" ht="16.05" customHeight="1">
      <c r="A19" s="23"/>
      <c r="B19" s="23"/>
      <c r="C19" s="23"/>
      <c r="D19" s="23"/>
      <c r="E19" s="23"/>
      <c r="F19" s="23"/>
    </row>
    <row r="20" spans="1:6" ht="16.05" customHeight="1">
      <c r="A20" s="23"/>
      <c r="B20" s="23"/>
      <c r="C20" s="23"/>
      <c r="D20" s="23"/>
      <c r="E20" s="23"/>
      <c r="F20" s="23"/>
    </row>
    <row r="21" spans="1:6" ht="16.05" customHeight="1">
      <c r="A21" s="23"/>
      <c r="B21" s="23"/>
      <c r="C21" s="23"/>
      <c r="D21" s="23"/>
      <c r="E21" s="23"/>
      <c r="F21" s="23"/>
    </row>
    <row r="23" spans="1:6">
      <c r="C23" t="s">
        <v>161</v>
      </c>
    </row>
    <row r="24" spans="1:6">
      <c r="C24" s="32" t="s">
        <v>162</v>
      </c>
      <c r="D24" s="32" t="s">
        <v>163</v>
      </c>
    </row>
  </sheetData>
  <mergeCells count="6">
    <mergeCell ref="A17:F21"/>
    <mergeCell ref="A1:F1"/>
    <mergeCell ref="A3:F3"/>
    <mergeCell ref="A4:F8"/>
    <mergeCell ref="A10:F10"/>
    <mergeCell ref="A16:F16"/>
  </mergeCells>
  <hyperlinks>
    <hyperlink ref="C24" r:id="rId1" xr:uid="{3E74D20C-D0A1-43F7-9466-7662F7601F61}"/>
    <hyperlink ref="D24" r:id="rId2" xr:uid="{BB766C9D-07F9-4483-B44C-8F3DF51865E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5"/>
  <sheetViews>
    <sheetView workbookViewId="0">
      <selection activeCell="C8" sqref="C8"/>
    </sheetView>
  </sheetViews>
  <sheetFormatPr defaultRowHeight="13.8"/>
  <cols>
    <col min="1" max="1" width="18" customWidth="1"/>
    <col min="2" max="2" width="31" customWidth="1"/>
    <col min="3" max="3" width="62" customWidth="1"/>
    <col min="4" max="4" width="18" customWidth="1"/>
    <col min="5" max="5" width="20" customWidth="1"/>
  </cols>
  <sheetData>
    <row r="1" spans="1:5" ht="21">
      <c r="A1" s="25" t="s">
        <v>13</v>
      </c>
      <c r="B1" s="25"/>
      <c r="C1" s="25"/>
      <c r="D1" s="25"/>
      <c r="E1" s="25"/>
    </row>
    <row r="3" spans="1:5">
      <c r="A3" s="4" t="s">
        <v>14</v>
      </c>
      <c r="B3" s="4" t="s">
        <v>15</v>
      </c>
      <c r="C3" s="4" t="s">
        <v>16</v>
      </c>
      <c r="D3" s="4" t="s">
        <v>17</v>
      </c>
      <c r="E3" s="4" t="s">
        <v>18</v>
      </c>
    </row>
    <row r="4" spans="1:5" ht="41.4">
      <c r="A4" s="1" t="s">
        <v>19</v>
      </c>
      <c r="B4" s="1" t="s">
        <v>20</v>
      </c>
      <c r="C4" s="1" t="s">
        <v>21</v>
      </c>
      <c r="D4" s="5">
        <v>5000</v>
      </c>
      <c r="E4" s="1" t="s">
        <v>22</v>
      </c>
    </row>
    <row r="5" spans="1:5" ht="27.6">
      <c r="A5" s="1" t="s">
        <v>19</v>
      </c>
      <c r="B5" s="1" t="s">
        <v>23</v>
      </c>
      <c r="C5" s="1" t="s">
        <v>24</v>
      </c>
      <c r="D5" s="5">
        <v>12000</v>
      </c>
      <c r="E5" s="1" t="s">
        <v>25</v>
      </c>
    </row>
    <row r="6" spans="1:5" ht="27.6">
      <c r="A6" s="1" t="s">
        <v>19</v>
      </c>
      <c r="B6" s="1" t="s">
        <v>26</v>
      </c>
      <c r="C6" s="1" t="s">
        <v>27</v>
      </c>
      <c r="D6" s="5">
        <v>25000</v>
      </c>
      <c r="E6" s="1" t="s">
        <v>28</v>
      </c>
    </row>
    <row r="7" spans="1:5">
      <c r="A7" s="1" t="s">
        <v>29</v>
      </c>
      <c r="B7" s="1" t="s">
        <v>30</v>
      </c>
      <c r="C7" s="1" t="s">
        <v>31</v>
      </c>
      <c r="D7" s="5">
        <v>25</v>
      </c>
      <c r="E7" s="1" t="s">
        <v>32</v>
      </c>
    </row>
    <row r="8" spans="1:5" ht="27.6">
      <c r="A8" s="1" t="s">
        <v>33</v>
      </c>
      <c r="B8" s="1" t="s">
        <v>34</v>
      </c>
      <c r="C8" s="1" t="s">
        <v>35</v>
      </c>
      <c r="D8" s="5">
        <v>3</v>
      </c>
      <c r="E8" s="1" t="s">
        <v>36</v>
      </c>
    </row>
    <row r="9" spans="1:5" ht="27.6">
      <c r="A9" s="1" t="s">
        <v>33</v>
      </c>
      <c r="B9" s="1" t="s">
        <v>37</v>
      </c>
      <c r="C9" s="1" t="s">
        <v>38</v>
      </c>
      <c r="D9" s="5">
        <v>45</v>
      </c>
      <c r="E9" s="1" t="s">
        <v>39</v>
      </c>
    </row>
    <row r="10" spans="1:5" ht="27.6">
      <c r="A10" s="1" t="s">
        <v>33</v>
      </c>
      <c r="B10" s="1" t="s">
        <v>40</v>
      </c>
      <c r="C10" s="1" t="s">
        <v>41</v>
      </c>
      <c r="D10" s="5">
        <v>400</v>
      </c>
      <c r="E10" s="1" t="s">
        <v>42</v>
      </c>
    </row>
    <row r="11" spans="1:5" ht="27.6">
      <c r="A11" s="1" t="s">
        <v>33</v>
      </c>
      <c r="B11" s="1" t="s">
        <v>43</v>
      </c>
      <c r="C11" s="1" t="s">
        <v>44</v>
      </c>
      <c r="D11" s="5">
        <v>0</v>
      </c>
      <c r="E11" s="1" t="s">
        <v>39</v>
      </c>
    </row>
    <row r="12" spans="1:5" ht="27.6">
      <c r="A12" s="1" t="s">
        <v>45</v>
      </c>
      <c r="B12" s="1" t="s">
        <v>46</v>
      </c>
      <c r="C12" s="1" t="s">
        <v>47</v>
      </c>
      <c r="D12" s="5">
        <v>50000</v>
      </c>
      <c r="E12" s="1" t="s">
        <v>25</v>
      </c>
    </row>
    <row r="13" spans="1:5" ht="27.6">
      <c r="A13" s="1" t="s">
        <v>45</v>
      </c>
      <c r="B13" s="1" t="s">
        <v>48</v>
      </c>
      <c r="C13" s="1" t="s">
        <v>49</v>
      </c>
      <c r="D13" s="5">
        <v>100000</v>
      </c>
      <c r="E13" s="1" t="s">
        <v>25</v>
      </c>
    </row>
    <row r="14" spans="1:5" ht="27.6">
      <c r="A14" s="1" t="s">
        <v>45</v>
      </c>
      <c r="B14" s="1" t="s">
        <v>50</v>
      </c>
      <c r="C14" s="1" t="s">
        <v>51</v>
      </c>
      <c r="D14" s="5">
        <v>20000</v>
      </c>
      <c r="E14" s="1" t="s">
        <v>25</v>
      </c>
    </row>
    <row r="15" spans="1:5" ht="27.6">
      <c r="A15" s="1" t="s">
        <v>52</v>
      </c>
      <c r="B15" s="1" t="s">
        <v>53</v>
      </c>
      <c r="C15" s="1" t="s">
        <v>54</v>
      </c>
      <c r="D15" s="5">
        <v>120</v>
      </c>
      <c r="E15" s="1" t="s">
        <v>55</v>
      </c>
    </row>
    <row r="16" spans="1:5" ht="27.6">
      <c r="A16" s="1" t="s">
        <v>52</v>
      </c>
      <c r="B16" s="1" t="s">
        <v>56</v>
      </c>
      <c r="C16" s="1" t="s">
        <v>57</v>
      </c>
      <c r="D16" s="5">
        <v>2500</v>
      </c>
      <c r="E16" s="1" t="s">
        <v>58</v>
      </c>
    </row>
    <row r="17" spans="1:5" ht="27.6">
      <c r="A17" s="1" t="s">
        <v>52</v>
      </c>
      <c r="B17" s="1" t="s">
        <v>59</v>
      </c>
      <c r="C17" s="1" t="s">
        <v>60</v>
      </c>
      <c r="D17" s="5">
        <v>350</v>
      </c>
      <c r="E17" s="1" t="s">
        <v>61</v>
      </c>
    </row>
    <row r="18" spans="1:5" ht="27.6">
      <c r="A18" s="1" t="s">
        <v>52</v>
      </c>
      <c r="B18" s="1" t="s">
        <v>62</v>
      </c>
      <c r="C18" s="1" t="s">
        <v>63</v>
      </c>
      <c r="D18" s="5">
        <v>40</v>
      </c>
      <c r="E18" s="1" t="s">
        <v>64</v>
      </c>
    </row>
    <row r="19" spans="1:5">
      <c r="A19" s="1" t="s">
        <v>65</v>
      </c>
      <c r="B19" s="1" t="s">
        <v>66</v>
      </c>
      <c r="C19" s="1" t="s">
        <v>67</v>
      </c>
      <c r="D19" s="5">
        <v>2</v>
      </c>
      <c r="E19" s="1" t="s">
        <v>68</v>
      </c>
    </row>
    <row r="20" spans="1:5" ht="27.6">
      <c r="A20" s="1" t="s">
        <v>65</v>
      </c>
      <c r="B20" s="1" t="s">
        <v>69</v>
      </c>
      <c r="C20" s="1" t="s">
        <v>70</v>
      </c>
      <c r="D20" s="5">
        <v>0.15</v>
      </c>
      <c r="E20" s="1" t="s">
        <v>68</v>
      </c>
    </row>
    <row r="21" spans="1:5" ht="27.6">
      <c r="A21" s="1" t="s">
        <v>65</v>
      </c>
      <c r="B21" s="1" t="s">
        <v>71</v>
      </c>
      <c r="C21" s="1" t="s">
        <v>72</v>
      </c>
      <c r="D21" s="6">
        <v>0.85</v>
      </c>
      <c r="E21" s="1" t="s">
        <v>73</v>
      </c>
    </row>
    <row r="22" spans="1:5">
      <c r="A22" s="1" t="s">
        <v>65</v>
      </c>
      <c r="B22" s="1" t="s">
        <v>74</v>
      </c>
      <c r="C22" s="1" t="s">
        <v>75</v>
      </c>
      <c r="D22" s="6">
        <v>0.1</v>
      </c>
      <c r="E22" s="1" t="s">
        <v>73</v>
      </c>
    </row>
    <row r="23" spans="1:5" ht="27.6">
      <c r="A23" s="1" t="s">
        <v>65</v>
      </c>
      <c r="B23" s="1" t="s">
        <v>76</v>
      </c>
      <c r="C23" s="1" t="s">
        <v>77</v>
      </c>
      <c r="D23" s="5">
        <v>0.75</v>
      </c>
      <c r="E23" s="1" t="s">
        <v>78</v>
      </c>
    </row>
    <row r="24" spans="1:5" ht="27.6">
      <c r="A24" s="1" t="s">
        <v>65</v>
      </c>
      <c r="B24" s="1" t="s">
        <v>79</v>
      </c>
      <c r="C24" s="1" t="s">
        <v>80</v>
      </c>
      <c r="D24" s="7">
        <v>9</v>
      </c>
      <c r="E24" s="1" t="s">
        <v>81</v>
      </c>
    </row>
    <row r="25" spans="1:5" ht="27.6">
      <c r="A25" s="1" t="s">
        <v>82</v>
      </c>
      <c r="B25" s="1" t="s">
        <v>83</v>
      </c>
      <c r="C25" s="1" t="s">
        <v>84</v>
      </c>
      <c r="D25" s="5">
        <v>3000</v>
      </c>
      <c r="E25" s="1" t="s">
        <v>85</v>
      </c>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8"/>
  <sheetViews>
    <sheetView workbookViewId="0">
      <selection activeCell="C5" sqref="C5"/>
    </sheetView>
  </sheetViews>
  <sheetFormatPr defaultRowHeight="13.8"/>
  <cols>
    <col min="1" max="1" width="18" customWidth="1"/>
    <col min="2" max="2" width="38" customWidth="1"/>
    <col min="3" max="3" width="22" customWidth="1"/>
    <col min="4" max="4" width="65" customWidth="1"/>
  </cols>
  <sheetData>
    <row r="1" spans="1:4" ht="21">
      <c r="A1" s="25" t="s">
        <v>86</v>
      </c>
      <c r="B1" s="25"/>
      <c r="C1" s="25"/>
      <c r="D1" s="25"/>
    </row>
    <row r="3" spans="1:4">
      <c r="A3" s="3" t="s">
        <v>87</v>
      </c>
      <c r="B3" s="3" t="s">
        <v>88</v>
      </c>
      <c r="C3" s="3" t="s">
        <v>89</v>
      </c>
      <c r="D3" s="3" t="s">
        <v>90</v>
      </c>
    </row>
    <row r="4" spans="1:4">
      <c r="A4" s="14" t="s">
        <v>91</v>
      </c>
      <c r="B4" s="14" t="s">
        <v>92</v>
      </c>
      <c r="C4" s="8">
        <f>Inputs!D4*12+Inputs!D5</f>
        <v>72000</v>
      </c>
      <c r="D4" s="1" t="s">
        <v>93</v>
      </c>
    </row>
    <row r="5" spans="1:4">
      <c r="A5" s="14" t="s">
        <v>91</v>
      </c>
      <c r="B5" s="14" t="s">
        <v>94</v>
      </c>
      <c r="C5" s="8">
        <f>C4+Inputs!D6</f>
        <v>97000</v>
      </c>
      <c r="D5" s="1" t="s">
        <v>95</v>
      </c>
    </row>
    <row r="6" spans="1:4">
      <c r="A6" s="14" t="s">
        <v>91</v>
      </c>
      <c r="B6" s="14" t="s">
        <v>96</v>
      </c>
      <c r="C6" s="8">
        <f>C4</f>
        <v>72000</v>
      </c>
      <c r="D6" s="1" t="s">
        <v>97</v>
      </c>
    </row>
    <row r="7" spans="1:4">
      <c r="A7" s="15" t="s">
        <v>98</v>
      </c>
      <c r="B7" s="15" t="s">
        <v>99</v>
      </c>
      <c r="C7" s="9">
        <f>Inputs!D7*Inputs!D8*52</f>
        <v>3900</v>
      </c>
      <c r="D7" s="1" t="s">
        <v>100</v>
      </c>
    </row>
    <row r="8" spans="1:4" ht="27.6">
      <c r="A8" s="15" t="s">
        <v>98</v>
      </c>
      <c r="B8" s="15" t="s">
        <v>101</v>
      </c>
      <c r="C8" s="8">
        <f>C7*Inputs!D9</f>
        <v>175500</v>
      </c>
      <c r="D8" s="1" t="s">
        <v>102</v>
      </c>
    </row>
    <row r="9" spans="1:4" ht="27.6">
      <c r="A9" s="15" t="s">
        <v>98</v>
      </c>
      <c r="B9" s="15" t="s">
        <v>103</v>
      </c>
      <c r="C9" s="8">
        <f>Inputs!D10*Inputs!D11</f>
        <v>0</v>
      </c>
      <c r="D9" s="1" t="s">
        <v>104</v>
      </c>
    </row>
    <row r="10" spans="1:4">
      <c r="A10" s="14" t="s">
        <v>105</v>
      </c>
      <c r="B10" s="14" t="s">
        <v>106</v>
      </c>
      <c r="C10" s="8">
        <f>SUM(Inputs!D12:D14)</f>
        <v>170000</v>
      </c>
      <c r="D10" s="1" t="s">
        <v>107</v>
      </c>
    </row>
    <row r="11" spans="1:4">
      <c r="A11" s="14" t="s">
        <v>105</v>
      </c>
      <c r="B11" s="14" t="s">
        <v>108</v>
      </c>
      <c r="C11" s="8">
        <f>C10-C5</f>
        <v>73000</v>
      </c>
      <c r="D11" s="1" t="s">
        <v>109</v>
      </c>
    </row>
    <row r="12" spans="1:4">
      <c r="A12" s="14" t="s">
        <v>105</v>
      </c>
      <c r="B12" s="14" t="s">
        <v>110</v>
      </c>
      <c r="C12" s="10">
        <f>IFERROR(C11/C5,0)</f>
        <v>0.75257731958762886</v>
      </c>
      <c r="D12" s="1" t="s">
        <v>111</v>
      </c>
    </row>
    <row r="13" spans="1:4">
      <c r="A13" s="14" t="s">
        <v>105</v>
      </c>
      <c r="B13" s="14" t="s">
        <v>112</v>
      </c>
      <c r="C13" s="10">
        <f>IFERROR((C10-C6)/C6,0)</f>
        <v>1.3611111111111112</v>
      </c>
      <c r="D13" s="1" t="s">
        <v>113</v>
      </c>
    </row>
    <row r="14" spans="1:4" ht="27.6">
      <c r="A14" s="14" t="s">
        <v>105</v>
      </c>
      <c r="B14" s="14" t="s">
        <v>114</v>
      </c>
      <c r="C14" s="8">
        <f>C10+C8+C9</f>
        <v>345500</v>
      </c>
      <c r="D14" s="1" t="s">
        <v>115</v>
      </c>
    </row>
    <row r="15" spans="1:4">
      <c r="A15" s="14" t="s">
        <v>105</v>
      </c>
      <c r="B15" s="14" t="s">
        <v>116</v>
      </c>
      <c r="C15" s="10">
        <f>IFERROR((C14-C6)/C6,0)</f>
        <v>3.7986111111111112</v>
      </c>
      <c r="D15" s="1" t="s">
        <v>117</v>
      </c>
    </row>
    <row r="16" spans="1:4">
      <c r="A16" s="16" t="s">
        <v>118</v>
      </c>
      <c r="B16" s="16" t="s">
        <v>119</v>
      </c>
      <c r="C16" s="11">
        <f>IFERROR(C6/Inputs!D25,0)</f>
        <v>24</v>
      </c>
      <c r="D16" s="1" t="s">
        <v>120</v>
      </c>
    </row>
    <row r="17" spans="1:4">
      <c r="A17" s="16" t="s">
        <v>118</v>
      </c>
      <c r="B17" s="16" t="s">
        <v>121</v>
      </c>
      <c r="C17" s="11">
        <f>IFERROR(C6/Inputs!D15,0)</f>
        <v>600</v>
      </c>
      <c r="D17" s="1" t="s">
        <v>122</v>
      </c>
    </row>
    <row r="18" spans="1:4">
      <c r="A18" s="16" t="s">
        <v>118</v>
      </c>
      <c r="B18" s="16" t="s">
        <v>123</v>
      </c>
      <c r="C18" s="11">
        <f>IFERROR(C6/Inputs!D16,0)</f>
        <v>28.8</v>
      </c>
      <c r="D18" s="1" t="s">
        <v>124</v>
      </c>
    </row>
    <row r="19" spans="1:4">
      <c r="A19" s="16" t="s">
        <v>118</v>
      </c>
      <c r="B19" s="16" t="s">
        <v>125</v>
      </c>
      <c r="C19" s="11">
        <f>IFERROR(C6/Inputs!D17,0)</f>
        <v>205.71428571428572</v>
      </c>
      <c r="D19" s="1" t="s">
        <v>126</v>
      </c>
    </row>
    <row r="20" spans="1:4">
      <c r="A20" s="16" t="s">
        <v>118</v>
      </c>
      <c r="B20" s="16" t="s">
        <v>127</v>
      </c>
      <c r="C20" s="11">
        <f>IFERROR(C6/Inputs!D18,0)</f>
        <v>1800</v>
      </c>
      <c r="D20" s="1" t="s">
        <v>128</v>
      </c>
    </row>
    <row r="21" spans="1:4" ht="27.6">
      <c r="A21" s="17" t="s">
        <v>129</v>
      </c>
      <c r="B21" s="17" t="s">
        <v>130</v>
      </c>
      <c r="C21" s="10">
        <f>IFERROR(Inputs!D20/Inputs!D19,0)</f>
        <v>7.4999999999999997E-2</v>
      </c>
      <c r="D21" s="1" t="s">
        <v>131</v>
      </c>
    </row>
    <row r="22" spans="1:4">
      <c r="A22" s="17" t="s">
        <v>129</v>
      </c>
      <c r="B22" s="17" t="s">
        <v>132</v>
      </c>
      <c r="C22" s="10">
        <f>Inputs!D21</f>
        <v>0.85</v>
      </c>
      <c r="D22" s="1" t="s">
        <v>133</v>
      </c>
    </row>
    <row r="23" spans="1:4">
      <c r="A23" s="17" t="s">
        <v>129</v>
      </c>
      <c r="B23" s="17" t="s">
        <v>134</v>
      </c>
      <c r="C23" s="10">
        <f>C22-C21</f>
        <v>0.77500000000000002</v>
      </c>
      <c r="D23" s="1" t="s">
        <v>135</v>
      </c>
    </row>
    <row r="24" spans="1:4">
      <c r="A24" s="17" t="s">
        <v>129</v>
      </c>
      <c r="B24" s="17" t="s">
        <v>136</v>
      </c>
      <c r="C24" s="12">
        <f>Inputs!D20*Inputs!D25</f>
        <v>450</v>
      </c>
      <c r="D24" s="1" t="s">
        <v>137</v>
      </c>
    </row>
    <row r="25" spans="1:4">
      <c r="A25" s="17" t="s">
        <v>129</v>
      </c>
      <c r="B25" s="17" t="s">
        <v>138</v>
      </c>
      <c r="C25" s="12">
        <f>Inputs!D25*Inputs!D22*Inputs!D23</f>
        <v>225</v>
      </c>
      <c r="D25" s="1" t="s">
        <v>139</v>
      </c>
    </row>
    <row r="26" spans="1:4">
      <c r="A26" s="17" t="s">
        <v>129</v>
      </c>
      <c r="B26" s="17" t="s">
        <v>140</v>
      </c>
      <c r="C26" s="8">
        <f>(C24+C25)*Inputs!D9</f>
        <v>30375</v>
      </c>
      <c r="D26" s="1" t="s">
        <v>141</v>
      </c>
    </row>
    <row r="27" spans="1:4">
      <c r="A27" s="18" t="s">
        <v>142</v>
      </c>
      <c r="B27" s="18" t="s">
        <v>79</v>
      </c>
      <c r="C27" s="13">
        <f>Inputs!D24</f>
        <v>9</v>
      </c>
      <c r="D27" s="1" t="s">
        <v>143</v>
      </c>
    </row>
    <row r="28" spans="1:4" ht="27.6">
      <c r="A28" s="18" t="s">
        <v>142</v>
      </c>
      <c r="B28" s="18" t="s">
        <v>144</v>
      </c>
      <c r="C28" s="13">
        <f>IFERROR((C7/1000)+(Inputs!D15/100)+(Inputs!D17/100)+(Inputs!D18/10),0)</f>
        <v>12.6</v>
      </c>
      <c r="D28" s="1" t="s">
        <v>145</v>
      </c>
    </row>
  </sheetData>
  <mergeCells count="1">
    <mergeCell ref="A1:D1"/>
  </mergeCells>
  <conditionalFormatting sqref="C12:C13">
    <cfRule type="colorScale" priority="1">
      <colorScale>
        <cfvo type="min"/>
        <cfvo type="percentile" val="50"/>
        <cfvo type="max"/>
        <color rgb="FFF4CCCC"/>
        <color rgb="FFFFF2CC"/>
        <color rgb="FFD9EAD3"/>
      </colorScale>
    </cfRule>
  </conditionalFormatting>
  <conditionalFormatting sqref="C23">
    <cfRule type="expression" dxfId="1" priority="2">
      <formula>C23&lt;0</formula>
    </cfRule>
    <cfRule type="expression" dxfId="0" priority="3">
      <formula>C23&gt;=0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4"/>
  <sheetViews>
    <sheetView tabSelected="1" topLeftCell="A2" workbookViewId="0">
      <selection activeCell="D25" sqref="D25"/>
    </sheetView>
  </sheetViews>
  <sheetFormatPr defaultRowHeight="13.8"/>
  <cols>
    <col min="1" max="1" width="25" customWidth="1"/>
    <col min="2" max="2" width="17" customWidth="1"/>
    <col min="3" max="3" width="4" customWidth="1"/>
    <col min="4" max="4" width="25" customWidth="1"/>
    <col min="5" max="5" width="17" customWidth="1"/>
    <col min="6" max="6" width="4" customWidth="1"/>
    <col min="7" max="7" width="25" customWidth="1"/>
    <col min="8" max="8" width="17" customWidth="1"/>
  </cols>
  <sheetData>
    <row r="1" spans="1:8" ht="22.8">
      <c r="A1" s="26" t="s">
        <v>146</v>
      </c>
      <c r="B1" s="26"/>
      <c r="C1" s="26"/>
      <c r="D1" s="26"/>
      <c r="E1" s="26"/>
      <c r="F1" s="26"/>
      <c r="G1" s="26"/>
      <c r="H1" s="26"/>
    </row>
    <row r="3" spans="1:8">
      <c r="A3" s="27" t="s">
        <v>147</v>
      </c>
      <c r="B3" s="27"/>
      <c r="D3" s="27" t="s">
        <v>148</v>
      </c>
      <c r="E3" s="27"/>
      <c r="G3" s="27" t="s">
        <v>149</v>
      </c>
      <c r="H3" s="27"/>
    </row>
    <row r="4" spans="1:8" ht="17.399999999999999">
      <c r="A4" t="s">
        <v>150</v>
      </c>
      <c r="B4" s="19">
        <f>Outputs!C5</f>
        <v>97000</v>
      </c>
      <c r="D4" t="s">
        <v>151</v>
      </c>
      <c r="E4" s="21">
        <f>Outputs!C7</f>
        <v>3900</v>
      </c>
      <c r="G4" t="s">
        <v>152</v>
      </c>
      <c r="H4" s="21">
        <f>Inputs!D15</f>
        <v>120</v>
      </c>
    </row>
    <row r="5" spans="1:8" ht="17.399999999999999">
      <c r="A5" t="s">
        <v>110</v>
      </c>
      <c r="B5" s="20">
        <f>Outputs!C12</f>
        <v>0.75257731958762886</v>
      </c>
      <c r="D5" t="s">
        <v>101</v>
      </c>
      <c r="E5" s="19">
        <f>Outputs!C8</f>
        <v>175500</v>
      </c>
      <c r="G5" t="s">
        <v>153</v>
      </c>
      <c r="H5" s="21">
        <f>Inputs!D16</f>
        <v>2500</v>
      </c>
    </row>
    <row r="6" spans="1:8" ht="17.399999999999999">
      <c r="A6" t="s">
        <v>112</v>
      </c>
      <c r="B6" s="20">
        <f>Outputs!C13</f>
        <v>1.3611111111111112</v>
      </c>
      <c r="D6" t="s">
        <v>154</v>
      </c>
      <c r="E6" s="19">
        <f>Outputs!C26</f>
        <v>30375</v>
      </c>
      <c r="G6" t="s">
        <v>155</v>
      </c>
      <c r="H6" s="21">
        <f>Inputs!D17</f>
        <v>350</v>
      </c>
    </row>
    <row r="7" spans="1:8" ht="17.399999999999999">
      <c r="A7" t="s">
        <v>106</v>
      </c>
      <c r="B7" s="19">
        <f>Outputs!C10</f>
        <v>170000</v>
      </c>
      <c r="D7" t="s">
        <v>134</v>
      </c>
      <c r="E7" s="20">
        <f>Outputs!C23</f>
        <v>0.77500000000000002</v>
      </c>
      <c r="G7" t="s">
        <v>156</v>
      </c>
      <c r="H7" s="21">
        <f>Inputs!D18</f>
        <v>40</v>
      </c>
    </row>
    <row r="9" spans="1:8">
      <c r="A9" s="22" t="s">
        <v>157</v>
      </c>
      <c r="B9" s="22"/>
      <c r="C9" s="22"/>
      <c r="D9" s="22"/>
      <c r="E9" s="22"/>
      <c r="F9" s="22"/>
      <c r="G9" s="22"/>
      <c r="H9" s="22"/>
    </row>
    <row r="10" spans="1:8">
      <c r="A10" s="28" t="s">
        <v>158</v>
      </c>
      <c r="B10" s="28"/>
      <c r="C10" s="28"/>
      <c r="D10" s="28"/>
      <c r="E10" s="28"/>
      <c r="F10" s="28"/>
      <c r="G10" s="28"/>
      <c r="H10" s="28"/>
    </row>
    <row r="11" spans="1:8">
      <c r="A11" s="28"/>
      <c r="B11" s="28"/>
      <c r="C11" s="28"/>
      <c r="D11" s="28"/>
      <c r="E11" s="28"/>
      <c r="F11" s="28"/>
      <c r="G11" s="28"/>
      <c r="H11" s="28"/>
    </row>
    <row r="12" spans="1:8">
      <c r="A12" s="28"/>
      <c r="B12" s="28"/>
      <c r="C12" s="28"/>
      <c r="D12" s="28"/>
      <c r="E12" s="28"/>
      <c r="F12" s="28"/>
      <c r="G12" s="28"/>
      <c r="H12" s="28"/>
    </row>
    <row r="14" spans="1:8">
      <c r="A14" s="29" t="s">
        <v>159</v>
      </c>
      <c r="B14" s="29"/>
      <c r="C14" s="29"/>
      <c r="D14" s="29"/>
      <c r="E14" s="29"/>
      <c r="F14" s="29"/>
      <c r="G14" s="29"/>
      <c r="H14" s="29"/>
    </row>
    <row r="24" spans="4:4">
      <c r="D24" t="s">
        <v>164</v>
      </c>
    </row>
  </sheetData>
  <mergeCells count="7">
    <mergeCell ref="A10:H12"/>
    <mergeCell ref="A14:H14"/>
    <mergeCell ref="A1:H1"/>
    <mergeCell ref="A3:B3"/>
    <mergeCell ref="D3:E3"/>
    <mergeCell ref="G3:H3"/>
    <mergeCell ref="A9:H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Inputs</vt:lpstr>
      <vt:lpstr>Outputs</vt:lpstr>
      <vt:lpstr>Dashboard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Stewart Severino</cp:lastModifiedBy>
  <dcterms:modified xsi:type="dcterms:W3CDTF">2026-08-11T03:01:49Z</dcterms:modified>
</cp:coreProperties>
</file>